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Q:\Roads &amp; Stormwater\PRIVATE TOWNSHIP DEVELOPMENT\TOWNSHIP CONTROL\All files general\Documents TOWNSHIPS\Contributions\"/>
    </mc:Choice>
  </mc:AlternateContent>
  <xr:revisionPtr revIDLastSave="0" documentId="13_ncr:1_{A6DEA7D7-5638-4762-A406-FFDF5FBCF441}" xr6:coauthVersionLast="47" xr6:coauthVersionMax="47" xr10:uidLastSave="{00000000-0000-0000-0000-000000000000}"/>
  <bookViews>
    <workbookView xWindow="-108" yWindow="-108" windowWidth="23256" windowHeight="13176" xr2:uid="{00000000-000D-0000-FFFF-FFFF00000000}"/>
  </bookViews>
  <sheets>
    <sheet name="Contributions breakdown CoT " sheetId="1" r:id="rId1"/>
    <sheet name="Unit rate breakdown" sheetId="2" r:id="rId2"/>
  </sheets>
  <definedNames>
    <definedName name="_xlnm.Print_Area" localSheetId="0">'Contributions breakdown CoT '!$A$1:$R$44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1" l="1"/>
  <c r="P38" i="1" l="1"/>
  <c r="R38" i="1" s="1"/>
  <c r="G38" i="1"/>
  <c r="F38" i="1" s="1"/>
  <c r="M9" i="1"/>
  <c r="P9" i="1" s="1"/>
  <c r="R9" i="1" s="1"/>
  <c r="G9" i="1"/>
  <c r="I9" i="1" s="1"/>
  <c r="D8" i="1"/>
  <c r="G8" i="1" s="1"/>
  <c r="P17" i="1" l="1"/>
  <c r="R17" i="1" s="1"/>
  <c r="P22" i="1"/>
  <c r="R22" i="1" s="1"/>
  <c r="P23" i="1"/>
  <c r="R23" i="1" s="1"/>
  <c r="P21" i="1"/>
  <c r="R21" i="1" s="1"/>
  <c r="P19" i="1"/>
  <c r="R19" i="1" s="1"/>
  <c r="I38" i="1"/>
  <c r="P20" i="1"/>
  <c r="R20" i="1" s="1"/>
  <c r="G16" i="1"/>
  <c r="F16" i="1" s="1"/>
  <c r="G39" i="1"/>
  <c r="G10" i="1"/>
  <c r="I39" i="1" l="1"/>
  <c r="R39" i="1" s="1"/>
  <c r="P39" i="1"/>
  <c r="B26" i="1"/>
  <c r="P16" i="1"/>
  <c r="K10" i="1"/>
  <c r="M10" i="1" s="1"/>
  <c r="L8" i="1"/>
  <c r="M8" i="1" s="1"/>
  <c r="P26" i="1" l="1"/>
  <c r="R16" i="1"/>
  <c r="R26" i="1" s="1"/>
  <c r="B2" i="2"/>
  <c r="B3" i="2"/>
  <c r="P8" i="1" l="1"/>
  <c r="R8" i="1" s="1"/>
  <c r="I16" i="1" l="1"/>
  <c r="I26" i="1" s="1"/>
  <c r="I10" i="1" l="1"/>
  <c r="P10" i="1"/>
  <c r="G26" i="1"/>
  <c r="P12" i="1" l="1"/>
  <c r="R10" i="1"/>
  <c r="R12" i="1" s="1"/>
  <c r="J5" i="2"/>
  <c r="J6" i="2" s="1"/>
  <c r="J3" i="2"/>
  <c r="J4" i="2" s="1"/>
  <c r="C3" i="2" s="1"/>
  <c r="R29" i="1" l="1"/>
  <c r="R30" i="1" s="1"/>
  <c r="R36" i="1" s="1"/>
  <c r="R40" i="1" s="1"/>
  <c r="P29" i="1"/>
  <c r="P30" i="1" s="1"/>
  <c r="P36" i="1" s="1"/>
  <c r="C4" i="2"/>
  <c r="D4" i="2" s="1"/>
  <c r="D3" i="2"/>
  <c r="F3" i="2" l="1"/>
  <c r="H3" i="2" s="1"/>
  <c r="D5" i="2"/>
  <c r="D6" i="2" s="1"/>
  <c r="D12" i="1"/>
  <c r="I8" i="1" l="1"/>
  <c r="G12" i="1"/>
  <c r="G30" i="1" l="1"/>
  <c r="G36" i="1" s="1"/>
  <c r="I12" i="1"/>
  <c r="I30" i="1" l="1"/>
  <c r="I36" i="1" s="1"/>
  <c r="I40" i="1" s="1"/>
  <c r="I42" i="1" s="1"/>
  <c r="R42" i="1" s="1"/>
  <c r="R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Hannes Welman</author>
  </authors>
  <commentList>
    <comment ref="R40" authorId="0" shapeId="0" xr:uid="{00000000-0006-0000-0000-000001000000}">
      <text>
        <r>
          <rPr>
            <b/>
            <sz val="9"/>
            <color indexed="81"/>
            <rFont val="Tahoma"/>
            <family val="2"/>
          </rPr>
          <t>Hannes Welman:</t>
        </r>
        <r>
          <rPr>
            <sz val="9"/>
            <color indexed="81"/>
            <rFont val="Tahoma"/>
            <family val="2"/>
          </rPr>
          <t xml:space="preserve">
Difference due to 15% VAT not 14%</t>
        </r>
      </text>
    </comment>
  </commentList>
</comments>
</file>

<file path=xl/sharedStrings.xml><?xml version="1.0" encoding="utf-8"?>
<sst xmlns="http://schemas.openxmlformats.org/spreadsheetml/2006/main" count="100" uniqueCount="69">
  <si>
    <t>Roads</t>
  </si>
  <si>
    <t>Description</t>
  </si>
  <si>
    <t xml:space="preserve">Length </t>
  </si>
  <si>
    <t>Width</t>
  </si>
  <si>
    <t>Area</t>
  </si>
  <si>
    <t>Total</t>
  </si>
  <si>
    <t>Amount</t>
  </si>
  <si>
    <t>m²</t>
  </si>
  <si>
    <t>R/m²</t>
  </si>
  <si>
    <t>(m)</t>
  </si>
  <si>
    <t>Design And Documentation</t>
  </si>
  <si>
    <t>Site Supervision</t>
  </si>
  <si>
    <t>Disbursements</t>
  </si>
  <si>
    <t>CoT Contribution</t>
  </si>
  <si>
    <t>Total Cost Incl VAT (D)</t>
  </si>
  <si>
    <t>Estimated Cost at Service Agreement Stage.</t>
  </si>
  <si>
    <t>Sum</t>
  </si>
  <si>
    <t>%</t>
  </si>
  <si>
    <t xml:space="preserve"> </t>
  </si>
  <si>
    <t xml:space="preserve">Final Amount Due </t>
  </si>
  <si>
    <t>Net amount owing by Council stipulated in service greement</t>
  </si>
  <si>
    <t xml:space="preserve">No </t>
  </si>
  <si>
    <t>P&amp;G</t>
  </si>
  <si>
    <t>SW</t>
  </si>
  <si>
    <t>Structures</t>
  </si>
  <si>
    <t>Actual</t>
  </si>
  <si>
    <t>Ration P&amp;G</t>
  </si>
  <si>
    <t>Cost incl P7G</t>
  </si>
  <si>
    <t>Unit Area /Length</t>
  </si>
  <si>
    <t>Southern Boundary</t>
  </si>
  <si>
    <t xml:space="preserve">Structures </t>
  </si>
  <si>
    <t xml:space="preserve">Bulk Contributions </t>
  </si>
  <si>
    <t>ESCALATION FACTOR</t>
  </si>
  <si>
    <t>TOTALS  (A)</t>
  </si>
  <si>
    <t>TOTALS (B)</t>
  </si>
  <si>
    <t>Total Cost Excluding Vat (A + B)</t>
  </si>
  <si>
    <t>Total Cost Including Vat (A + B)</t>
  </si>
  <si>
    <t>Professional Fees (C)</t>
  </si>
  <si>
    <t>ROADS</t>
  </si>
  <si>
    <t>STORMWATER</t>
  </si>
  <si>
    <t>ADD VAT</t>
  </si>
  <si>
    <t>Township Name</t>
  </si>
  <si>
    <t>Date</t>
  </si>
  <si>
    <r>
      <rPr>
        <b/>
        <sz val="12"/>
        <color theme="1"/>
        <rFont val="Calibri"/>
        <family val="2"/>
        <scheme val="minor"/>
      </rPr>
      <t>Quantities</t>
    </r>
    <r>
      <rPr>
        <sz val="12"/>
        <color theme="1"/>
        <rFont val="Calibri"/>
        <family val="2"/>
        <scheme val="minor"/>
      </rPr>
      <t xml:space="preserve"> should be based on actual measures. Quatities should be clearly measurable from the asbuilt drawings reflecting the lenghts widths and areas calculated for bellmounts etc. </t>
    </r>
    <r>
      <rPr>
        <b/>
        <sz val="12"/>
        <color theme="1"/>
        <rFont val="Calibri"/>
        <family val="2"/>
        <scheme val="minor"/>
      </rPr>
      <t>Unit rate/s</t>
    </r>
    <r>
      <rPr>
        <sz val="12"/>
        <color theme="1"/>
        <rFont val="Calibri"/>
        <family val="2"/>
        <scheme val="minor"/>
      </rPr>
      <t xml:space="preserve"> calculations must be breakdown in a Seperate Spreadsheets with detail breakdown of each unit rate used in the costing Seperate calculations must be done to proof unit rates)</t>
    </r>
  </si>
  <si>
    <t>Date: July 2015</t>
  </si>
  <si>
    <t>Unit Price      (Incl VAT)</t>
  </si>
  <si>
    <t>Unit Price (excl VAT)</t>
  </si>
  <si>
    <t>Total Cost excluding Vat (A + B)</t>
  </si>
  <si>
    <t>Amount Exceeding Service Agreement or zero</t>
  </si>
  <si>
    <t>Included</t>
  </si>
  <si>
    <t>1050mm dia 75D</t>
  </si>
  <si>
    <t>450mm dia 100D (Link pipes for KI's) - 50% as boundary cost</t>
  </si>
  <si>
    <t>Type A1 Junction boxes - 50% as boundary cost</t>
  </si>
  <si>
    <t>Type C Junction boxes - 50% as boundary cost</t>
  </si>
  <si>
    <t>Stormwater outlets - 50% as boundary cost</t>
  </si>
  <si>
    <t>Kerb Inlets (3m long) - 50% as boundary cost</t>
  </si>
  <si>
    <t>Date: July 2018</t>
  </si>
  <si>
    <t>VAT 14%</t>
  </si>
  <si>
    <t>Varies</t>
  </si>
  <si>
    <t>450mm dia 100D (Offset difference between a 450mm dia pipe)</t>
  </si>
  <si>
    <t>Type A2 Junction boxes - 50% as boundary cost</t>
  </si>
  <si>
    <t xml:space="preserve">Actual Construction Cost Completed </t>
  </si>
  <si>
    <t>July 2018</t>
  </si>
  <si>
    <t>July 2015</t>
  </si>
  <si>
    <t>Street name  (Local Distributor Class 4a - 30mm Asphalt) - Boundary road</t>
  </si>
  <si>
    <t>Street Name (Local Distributor Class 4a - 30mm Asphalt) - Circle</t>
  </si>
  <si>
    <t>Street name (Local Distributor Class 4a - 30mm Asphalt) - 100m Access</t>
  </si>
  <si>
    <t xml:space="preserve">Developers Offsets </t>
  </si>
  <si>
    <t xml:space="preserve">Quantities and unit rates included in the signed service agreement must be be ussed and compare for correctness based on the Service Report. Add additional rows to the spreadsheet as required to provided a comparative  breakdown related to the service agreement. (PLease note that this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</si>
</sst>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0.0%"/>
    <numFmt numFmtId="165" formatCode="0.0"/>
    <numFmt numFmtId="166" formatCode="#,##0_ ;\-#,##0\ "/>
    <numFmt numFmtId="167" formatCode="#,##0.0_ ;\-#,##0.0\ "/>
    <numFmt numFmtId="172" formatCode="_-&quot;R&quot;* #,##0.00_-;\-&quot;R&quot;* #,##0.00_-;_-&quot;R&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color theme="1"/>
      <name val="Calibri"/>
      <family val="2"/>
      <scheme val="minor"/>
    </font>
    <font>
      <b/>
      <i/>
      <u/>
      <sz val="11"/>
      <color theme="1"/>
      <name val="Calibri"/>
      <family val="2"/>
      <scheme val="minor"/>
    </font>
    <font>
      <b/>
      <sz val="22"/>
      <color theme="1"/>
      <name val="Calibri"/>
      <family val="2"/>
      <scheme val="minor"/>
    </font>
    <font>
      <sz val="22"/>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double">
        <color rgb="FFFF0000"/>
      </top>
      <bottom/>
      <diagonal/>
    </border>
    <border>
      <left/>
      <right style="double">
        <color rgb="FFFF0000"/>
      </right>
      <top style="double">
        <color rgb="FFFF0000"/>
      </top>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diagonal/>
    </border>
    <border>
      <left style="thin">
        <color indexed="64"/>
      </left>
      <right style="double">
        <color rgb="FFFF0000"/>
      </right>
      <top style="thin">
        <color indexed="64"/>
      </top>
      <bottom style="double">
        <color indexed="64"/>
      </bottom>
      <diagonal/>
    </border>
    <border>
      <left style="thin">
        <color indexed="64"/>
      </left>
      <right style="double">
        <color rgb="FFFF0000"/>
      </right>
      <top/>
      <bottom/>
      <diagonal/>
    </border>
    <border>
      <left style="thin">
        <color indexed="64"/>
      </left>
      <right/>
      <top style="double">
        <color rgb="FFFF0000"/>
      </top>
      <bottom/>
      <diagonal/>
    </border>
    <border>
      <left style="thin">
        <color indexed="64"/>
      </left>
      <right style="thin">
        <color indexed="64"/>
      </right>
      <top/>
      <bottom style="double">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4" borderId="0" applyNumberFormat="0" applyBorder="0" applyAlignment="0" applyProtection="0"/>
    <xf numFmtId="172" fontId="1" fillId="0" borderId="0" applyFont="0" applyFill="0" applyBorder="0" applyAlignment="0" applyProtection="0"/>
  </cellStyleXfs>
  <cellXfs count="112">
    <xf numFmtId="0" fontId="0" fillId="0" borderId="0" xfId="0"/>
    <xf numFmtId="44" fontId="0" fillId="0" borderId="0" xfId="1" applyFont="1"/>
    <xf numFmtId="0" fontId="2" fillId="0" borderId="0" xfId="0" applyFont="1"/>
    <xf numFmtId="0" fontId="2" fillId="2" borderId="1" xfId="0" applyFont="1" applyFill="1" applyBorder="1"/>
    <xf numFmtId="0" fontId="0" fillId="2" borderId="1" xfId="0" applyFill="1" applyBorder="1"/>
    <xf numFmtId="44" fontId="0" fillId="2" borderId="1" xfId="1" applyFont="1" applyFill="1" applyBorder="1"/>
    <xf numFmtId="0" fontId="0" fillId="2" borderId="2" xfId="0" applyFill="1" applyBorder="1"/>
    <xf numFmtId="44" fontId="2" fillId="2" borderId="1" xfId="1" applyFont="1" applyFill="1" applyBorder="1"/>
    <xf numFmtId="44" fontId="0" fillId="2" borderId="2" xfId="1" applyFont="1" applyFill="1" applyBorder="1"/>
    <xf numFmtId="0" fontId="2" fillId="2" borderId="3" xfId="0" applyFont="1" applyFill="1" applyBorder="1" applyAlignment="1">
      <alignment horizontal="center"/>
    </xf>
    <xf numFmtId="9" fontId="0" fillId="2" borderId="1" xfId="2" applyFont="1" applyFill="1" applyBorder="1"/>
    <xf numFmtId="9" fontId="0" fillId="0" borderId="0" xfId="2" applyFont="1"/>
    <xf numFmtId="44" fontId="1" fillId="2" borderId="1" xfId="1" applyFont="1" applyFill="1" applyBorder="1"/>
    <xf numFmtId="0" fontId="2" fillId="3" borderId="1" xfId="0" applyFont="1" applyFill="1" applyBorder="1" applyAlignment="1">
      <alignment wrapText="1"/>
    </xf>
    <xf numFmtId="0" fontId="2" fillId="3" borderId="1" xfId="0" applyFont="1" applyFill="1" applyBorder="1"/>
    <xf numFmtId="44" fontId="2" fillId="3" borderId="1" xfId="1" applyFont="1" applyFill="1" applyBorder="1"/>
    <xf numFmtId="0" fontId="2" fillId="2" borderId="4" xfId="0" applyFont="1" applyFill="1" applyBorder="1" applyAlignment="1">
      <alignment horizontal="center"/>
    </xf>
    <xf numFmtId="0" fontId="0" fillId="3" borderId="0" xfId="0" applyFill="1"/>
    <xf numFmtId="0" fontId="0" fillId="3" borderId="2" xfId="0" applyFill="1" applyBorder="1"/>
    <xf numFmtId="44" fontId="0" fillId="3" borderId="2" xfId="1" applyFont="1" applyFill="1" applyBorder="1"/>
    <xf numFmtId="9" fontId="0" fillId="3" borderId="1" xfId="2" applyFont="1" applyFill="1" applyBorder="1"/>
    <xf numFmtId="44" fontId="0" fillId="3" borderId="1" xfId="1" applyFont="1" applyFill="1" applyBorder="1"/>
    <xf numFmtId="9" fontId="0" fillId="3" borderId="2" xfId="2" applyFont="1" applyFill="1" applyBorder="1"/>
    <xf numFmtId="0" fontId="2" fillId="3" borderId="0" xfId="0" applyFont="1" applyFill="1"/>
    <xf numFmtId="0" fontId="0" fillId="3" borderId="1" xfId="0" applyFill="1" applyBorder="1" applyAlignment="1">
      <alignment wrapText="1"/>
    </xf>
    <xf numFmtId="44" fontId="0" fillId="0" borderId="0" xfId="0" applyNumberFormat="1"/>
    <xf numFmtId="164" fontId="0" fillId="0" borderId="0" xfId="2" applyNumberFormat="1" applyFont="1"/>
    <xf numFmtId="165" fontId="0" fillId="2" borderId="1" xfId="0" applyNumberFormat="1" applyFill="1" applyBorder="1"/>
    <xf numFmtId="0" fontId="0" fillId="0" borderId="0" xfId="0" applyAlignment="1">
      <alignment vertical="center" wrapText="1"/>
    </xf>
    <xf numFmtId="0" fontId="2" fillId="3" borderId="1" xfId="0" applyFont="1" applyFill="1" applyBorder="1" applyAlignment="1">
      <alignment horizontal="center"/>
    </xf>
    <xf numFmtId="44" fontId="2" fillId="3" borderId="1" xfId="1" applyFont="1" applyFill="1" applyBorder="1" applyAlignment="1">
      <alignment horizontal="center"/>
    </xf>
    <xf numFmtId="0" fontId="5" fillId="2" borderId="1" xfId="0" applyFont="1" applyFill="1" applyBorder="1" applyAlignment="1">
      <alignment horizontal="center" vertical="center" wrapText="1"/>
    </xf>
    <xf numFmtId="44" fontId="5" fillId="2" borderId="1" xfId="1" applyFont="1" applyFill="1" applyBorder="1" applyAlignment="1">
      <alignment horizontal="center" vertical="center" wrapText="1"/>
    </xf>
    <xf numFmtId="0" fontId="0" fillId="2" borderId="1" xfId="0" applyFill="1" applyBorder="1" applyAlignment="1">
      <alignment horizontal="left"/>
    </xf>
    <xf numFmtId="0" fontId="2" fillId="2" borderId="1" xfId="0" applyFont="1" applyFill="1" applyBorder="1" applyAlignment="1">
      <alignment horizontal="left"/>
    </xf>
    <xf numFmtId="0" fontId="2" fillId="2" borderId="2" xfId="0" applyFont="1" applyFill="1" applyBorder="1"/>
    <xf numFmtId="0" fontId="2" fillId="3" borderId="2" xfId="0" applyFont="1" applyFill="1" applyBorder="1"/>
    <xf numFmtId="44" fontId="0" fillId="0" borderId="0" xfId="1" applyFont="1" applyFill="1" applyBorder="1"/>
    <xf numFmtId="0" fontId="5" fillId="2" borderId="1" xfId="0" applyFont="1" applyFill="1" applyBorder="1" applyAlignment="1">
      <alignment vertical="center" wrapText="1"/>
    </xf>
    <xf numFmtId="166" fontId="0" fillId="2" borderId="1" xfId="1" applyNumberFormat="1" applyFont="1" applyFill="1" applyBorder="1"/>
    <xf numFmtId="167" fontId="0" fillId="2" borderId="1" xfId="1" applyNumberFormat="1" applyFont="1" applyFill="1" applyBorder="1"/>
    <xf numFmtId="44" fontId="0" fillId="2" borderId="1" xfId="0" applyNumberFormat="1" applyFill="1" applyBorder="1"/>
    <xf numFmtId="165" fontId="2" fillId="2" borderId="1" xfId="0" applyNumberFormat="1" applyFont="1" applyFill="1" applyBorder="1"/>
    <xf numFmtId="44" fontId="2" fillId="2" borderId="1" xfId="0" applyNumberFormat="1" applyFont="1" applyFill="1" applyBorder="1"/>
    <xf numFmtId="9" fontId="2" fillId="2" borderId="1" xfId="2" applyFont="1" applyFill="1" applyBorder="1"/>
    <xf numFmtId="166" fontId="2" fillId="2" borderId="1" xfId="1" applyNumberFormat="1" applyFont="1" applyFill="1" applyBorder="1"/>
    <xf numFmtId="9" fontId="0" fillId="2" borderId="2" xfId="2" applyFont="1" applyFill="1" applyBorder="1"/>
    <xf numFmtId="0" fontId="2" fillId="3" borderId="9" xfId="0" applyFont="1" applyFill="1" applyBorder="1"/>
    <xf numFmtId="44" fontId="2" fillId="3" borderId="9" xfId="1" applyFont="1" applyFill="1" applyBorder="1"/>
    <xf numFmtId="0" fontId="2" fillId="3" borderId="10" xfId="0" applyFont="1" applyFill="1" applyBorder="1"/>
    <xf numFmtId="44" fontId="2" fillId="3" borderId="10" xfId="1" applyFont="1" applyFill="1" applyBorder="1"/>
    <xf numFmtId="44" fontId="2" fillId="2" borderId="3" xfId="1" applyFont="1" applyFill="1" applyBorder="1" applyAlignment="1">
      <alignment horizontal="center"/>
    </xf>
    <xf numFmtId="44" fontId="2" fillId="2" borderId="5" xfId="1" applyFont="1" applyFill="1" applyBorder="1" applyAlignment="1">
      <alignment horizontal="center"/>
    </xf>
    <xf numFmtId="0" fontId="2" fillId="2" borderId="1" xfId="0" applyFont="1" applyFill="1" applyBorder="1" applyAlignment="1">
      <alignment horizontal="center"/>
    </xf>
    <xf numFmtId="0" fontId="6" fillId="3" borderId="1" xfId="0" applyFont="1" applyFill="1" applyBorder="1"/>
    <xf numFmtId="0" fontId="6" fillId="0" borderId="0" xfId="0" applyFont="1"/>
    <xf numFmtId="0" fontId="7" fillId="2" borderId="2" xfId="0" applyFont="1" applyFill="1" applyBorder="1" applyAlignment="1">
      <alignment horizontal="center" vertical="center"/>
    </xf>
    <xf numFmtId="0" fontId="8" fillId="0" borderId="9" xfId="0" applyFont="1" applyBorder="1" applyAlignment="1">
      <alignment horizontal="center" vertical="center"/>
    </xf>
    <xf numFmtId="9" fontId="2" fillId="2" borderId="4" xfId="0" applyNumberFormat="1" applyFont="1" applyFill="1" applyBorder="1" applyAlignment="1">
      <alignment horizontal="center"/>
    </xf>
    <xf numFmtId="0" fontId="2" fillId="2" borderId="14" xfId="0" applyFont="1" applyFill="1" applyBorder="1" applyAlignment="1">
      <alignment horizontal="center"/>
    </xf>
    <xf numFmtId="44" fontId="5" fillId="2" borderId="14" xfId="1" applyFont="1" applyFill="1" applyBorder="1" applyAlignment="1">
      <alignment horizontal="center" vertical="center" wrapText="1"/>
    </xf>
    <xf numFmtId="44" fontId="2" fillId="3" borderId="14" xfId="1" applyFont="1" applyFill="1" applyBorder="1" applyAlignment="1">
      <alignment horizontal="center"/>
    </xf>
    <xf numFmtId="44" fontId="0" fillId="2" borderId="14" xfId="1" applyFont="1" applyFill="1" applyBorder="1"/>
    <xf numFmtId="44" fontId="2" fillId="2" borderId="14" xfId="0" applyNumberFormat="1" applyFont="1" applyFill="1" applyBorder="1"/>
    <xf numFmtId="44" fontId="2" fillId="3" borderId="14" xfId="1" applyFont="1" applyFill="1" applyBorder="1"/>
    <xf numFmtId="44" fontId="2" fillId="2" borderId="14" xfId="1" applyFont="1" applyFill="1" applyBorder="1"/>
    <xf numFmtId="44" fontId="0" fillId="2" borderId="15" xfId="1" applyFont="1" applyFill="1" applyBorder="1"/>
    <xf numFmtId="44" fontId="2" fillId="3" borderId="16" xfId="1" applyFont="1" applyFill="1" applyBorder="1"/>
    <xf numFmtId="44" fontId="2" fillId="3" borderId="17" xfId="1" applyFont="1" applyFill="1" applyBorder="1"/>
    <xf numFmtId="44" fontId="0" fillId="3" borderId="15" xfId="1" applyFont="1" applyFill="1" applyBorder="1"/>
    <xf numFmtId="165" fontId="2" fillId="2" borderId="4" xfId="0" applyNumberFormat="1" applyFont="1" applyFill="1" applyBorder="1" applyAlignment="1">
      <alignment horizontal="center"/>
    </xf>
    <xf numFmtId="44" fontId="12" fillId="4" borderId="14" xfId="3" applyNumberFormat="1" applyBorder="1"/>
    <xf numFmtId="0" fontId="0" fillId="2" borderId="1" xfId="0" applyFill="1" applyBorder="1" applyAlignment="1">
      <alignment horizontal="left" indent="1"/>
    </xf>
    <xf numFmtId="44" fontId="2" fillId="3" borderId="0" xfId="1" applyFont="1" applyFill="1" applyBorder="1"/>
    <xf numFmtId="0" fontId="0" fillId="2" borderId="1" xfId="0" applyFill="1" applyBorder="1" applyAlignment="1">
      <alignment horizontal="center"/>
    </xf>
    <xf numFmtId="44" fontId="2" fillId="2" borderId="3" xfId="1" applyFont="1" applyFill="1" applyBorder="1" applyAlignment="1">
      <alignment horizontal="center"/>
    </xf>
    <xf numFmtId="44" fontId="2" fillId="2" borderId="5" xfId="1" applyFont="1" applyFill="1" applyBorder="1" applyAlignment="1">
      <alignment horizontal="center"/>
    </xf>
    <xf numFmtId="0" fontId="9" fillId="2" borderId="7"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2" borderId="1" xfId="0" applyFont="1" applyFill="1" applyBorder="1" applyAlignment="1">
      <alignment horizontal="center"/>
    </xf>
    <xf numFmtId="0" fontId="2" fillId="2" borderId="14" xfId="0" applyFont="1" applyFill="1" applyBorder="1" applyAlignment="1">
      <alignment horizontal="center"/>
    </xf>
    <xf numFmtId="0" fontId="11" fillId="0" borderId="13" xfId="0" applyFont="1" applyBorder="1" applyAlignment="1">
      <alignment horizontal="left" vertical="center" wrapText="1"/>
    </xf>
    <xf numFmtId="0" fontId="2" fillId="0" borderId="0" xfId="0" applyFont="1" applyFill="1" applyBorder="1" applyAlignment="1">
      <alignment horizontal="center"/>
    </xf>
    <xf numFmtId="0" fontId="2" fillId="5" borderId="0" xfId="0" applyFont="1" applyFill="1" applyBorder="1" applyAlignment="1">
      <alignment horizontal="center"/>
    </xf>
    <xf numFmtId="0" fontId="9" fillId="2" borderId="18" xfId="0" applyFont="1" applyFill="1" applyBorder="1" applyAlignment="1">
      <alignment horizontal="center" vertical="center"/>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2" fillId="2" borderId="3" xfId="0" applyFont="1" applyFill="1" applyBorder="1" applyAlignment="1">
      <alignment horizontal="left"/>
    </xf>
    <xf numFmtId="1" fontId="0" fillId="2" borderId="1" xfId="1" applyNumberFormat="1" applyFont="1" applyFill="1" applyBorder="1"/>
    <xf numFmtId="1" fontId="2" fillId="3" borderId="1" xfId="1" applyNumberFormat="1" applyFont="1" applyFill="1" applyBorder="1"/>
    <xf numFmtId="3" fontId="2" fillId="2" borderId="1" xfId="1" applyNumberFormat="1" applyFont="1" applyFill="1" applyBorder="1"/>
    <xf numFmtId="3" fontId="0" fillId="2" borderId="1" xfId="1" applyNumberFormat="1" applyFont="1" applyFill="1" applyBorder="1"/>
    <xf numFmtId="0" fontId="2" fillId="3" borderId="19" xfId="0" applyFont="1" applyFill="1" applyBorder="1"/>
    <xf numFmtId="3" fontId="2" fillId="3" borderId="9" xfId="1" applyNumberFormat="1" applyFont="1" applyFill="1" applyBorder="1"/>
    <xf numFmtId="3" fontId="0" fillId="2" borderId="2" xfId="1" applyNumberFormat="1" applyFont="1" applyFill="1" applyBorder="1"/>
    <xf numFmtId="3" fontId="0" fillId="3" borderId="2" xfId="1" applyNumberFormat="1" applyFont="1" applyFill="1" applyBorder="1"/>
    <xf numFmtId="166" fontId="2" fillId="3" borderId="1" xfId="1" applyNumberFormat="1" applyFont="1" applyFill="1" applyBorder="1"/>
    <xf numFmtId="49" fontId="2" fillId="5" borderId="0" xfId="0" applyNumberFormat="1" applyFont="1" applyFill="1" applyBorder="1" applyAlignment="1">
      <alignment horizontal="center"/>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8" fillId="0" borderId="1" xfId="0" applyFont="1" applyBorder="1" applyAlignment="1">
      <alignment horizontal="center" vertical="center"/>
    </xf>
    <xf numFmtId="49" fontId="9"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xf numFmtId="0" fontId="0" fillId="2" borderId="1" xfId="0" applyFill="1" applyBorder="1"/>
    <xf numFmtId="9" fontId="0" fillId="2" borderId="1" xfId="2" applyFont="1" applyFill="1" applyBorder="1"/>
    <xf numFmtId="165" fontId="0" fillId="2" borderId="1" xfId="0" applyNumberFormat="1" applyFill="1" applyBorder="1"/>
    <xf numFmtId="0" fontId="0" fillId="2" borderId="1" xfId="0" applyFill="1" applyBorder="1" applyAlignment="1">
      <alignment horizontal="center"/>
    </xf>
  </cellXfs>
  <cellStyles count="5">
    <cellStyle name="Accent5" xfId="3" builtinId="45"/>
    <cellStyle name="Currency" xfId="1" builtinId="4"/>
    <cellStyle name="Currency 2" xfId="4" xr:uid="{F9349726-05A5-4DB5-A324-68B8EF2B611A}"/>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1"/>
  <sheetViews>
    <sheetView tabSelected="1" view="pageBreakPreview" zoomScale="70" zoomScaleNormal="70" zoomScaleSheetLayoutView="70" workbookViewId="0">
      <pane xSplit="1" ySplit="6" topLeftCell="B7" activePane="bottomRight" state="frozen"/>
      <selection pane="topRight" activeCell="B1" sqref="B1"/>
      <selection pane="bottomLeft" activeCell="A8" sqref="A8"/>
      <selection pane="bottomRight" activeCell="B2" sqref="B2:I2"/>
    </sheetView>
  </sheetViews>
  <sheetFormatPr defaultRowHeight="14.4" x14ac:dyDescent="0.3"/>
  <cols>
    <col min="1" max="1" width="69.6640625" bestFit="1" customWidth="1"/>
    <col min="2" max="2" width="8.6640625" customWidth="1"/>
    <col min="3" max="3" width="7.21875" bestFit="1" customWidth="1"/>
    <col min="4" max="4" width="8.6640625" customWidth="1"/>
    <col min="5" max="5" width="5.77734375" bestFit="1" customWidth="1"/>
    <col min="6" max="6" width="13" style="1" customWidth="1"/>
    <col min="7" max="7" width="19.88671875" style="1" customWidth="1"/>
    <col min="8" max="8" width="8.77734375" customWidth="1"/>
    <col min="9" max="9" width="18.6640625" style="1" customWidth="1"/>
    <col min="10" max="10" width="1.21875" style="85" customWidth="1"/>
    <col min="11" max="11" width="8.77734375" style="1" customWidth="1"/>
    <col min="12" max="12" width="7.21875" style="1" bestFit="1" customWidth="1"/>
    <col min="13" max="13" width="9.77734375" style="1" customWidth="1"/>
    <col min="14" max="14" width="5.77734375" style="1" bestFit="1" customWidth="1"/>
    <col min="15" max="15" width="15.44140625" style="1" customWidth="1"/>
    <col min="16" max="16" width="20.109375" style="1" customWidth="1"/>
    <col min="17" max="17" width="8" style="1" customWidth="1"/>
    <col min="18" max="18" width="22.77734375" style="1" customWidth="1"/>
    <col min="19" max="19" width="14.44140625" bestFit="1" customWidth="1"/>
    <col min="20" max="20" width="30.44140625" customWidth="1"/>
  </cols>
  <sheetData>
    <row r="1" spans="1:18" ht="31.95" customHeight="1" thickTop="1" x14ac:dyDescent="0.3">
      <c r="A1" s="56"/>
      <c r="B1" s="77" t="s">
        <v>15</v>
      </c>
      <c r="C1" s="78"/>
      <c r="D1" s="78"/>
      <c r="E1" s="78"/>
      <c r="F1" s="78"/>
      <c r="G1" s="78"/>
      <c r="H1" s="78"/>
      <c r="I1" s="79"/>
      <c r="J1" s="86"/>
      <c r="K1" s="87" t="s">
        <v>61</v>
      </c>
      <c r="L1" s="80"/>
      <c r="M1" s="80"/>
      <c r="N1" s="80"/>
      <c r="O1" s="80"/>
      <c r="P1" s="80"/>
      <c r="Q1" s="80"/>
      <c r="R1" s="81"/>
    </row>
    <row r="2" spans="1:18" ht="83.4" customHeight="1" x14ac:dyDescent="0.3">
      <c r="A2" s="57" t="s">
        <v>41</v>
      </c>
      <c r="B2" s="101" t="s">
        <v>68</v>
      </c>
      <c r="C2" s="102"/>
      <c r="D2" s="102"/>
      <c r="E2" s="102"/>
      <c r="F2" s="102"/>
      <c r="G2" s="102"/>
      <c r="H2" s="102"/>
      <c r="I2" s="103"/>
      <c r="J2" s="86"/>
      <c r="K2" s="88" t="s">
        <v>43</v>
      </c>
      <c r="L2" s="89"/>
      <c r="M2" s="89"/>
      <c r="N2" s="89"/>
      <c r="O2" s="89"/>
      <c r="P2" s="89"/>
      <c r="Q2" s="89"/>
      <c r="R2" s="84"/>
    </row>
    <row r="3" spans="1:18" ht="33.75" customHeight="1" x14ac:dyDescent="0.3">
      <c r="A3" s="104" t="s">
        <v>42</v>
      </c>
      <c r="B3" s="105" t="s">
        <v>63</v>
      </c>
      <c r="C3" s="106"/>
      <c r="D3" s="106"/>
      <c r="E3" s="106"/>
      <c r="F3" s="106"/>
      <c r="G3" s="106"/>
      <c r="H3" s="106"/>
      <c r="I3" s="106"/>
      <c r="J3" s="100"/>
      <c r="K3" s="105" t="s">
        <v>62</v>
      </c>
      <c r="L3" s="106"/>
      <c r="M3" s="106"/>
      <c r="N3" s="106"/>
      <c r="O3" s="106"/>
      <c r="P3" s="106"/>
      <c r="Q3" s="106"/>
      <c r="R3" s="106"/>
    </row>
    <row r="4" spans="1:18" x14ac:dyDescent="0.3">
      <c r="A4" s="9"/>
      <c r="B4" s="16"/>
      <c r="C4" s="16"/>
      <c r="D4" s="16"/>
      <c r="E4" s="16"/>
      <c r="F4" s="75" t="s">
        <v>44</v>
      </c>
      <c r="G4" s="76"/>
      <c r="H4" s="82" t="s">
        <v>13</v>
      </c>
      <c r="I4" s="82"/>
      <c r="J4" s="86"/>
      <c r="K4" s="90" t="s">
        <v>32</v>
      </c>
      <c r="L4" s="16"/>
      <c r="M4" s="16"/>
      <c r="N4" s="70">
        <v>1</v>
      </c>
      <c r="O4" s="75" t="s">
        <v>56</v>
      </c>
      <c r="P4" s="76"/>
      <c r="Q4" s="82" t="s">
        <v>13</v>
      </c>
      <c r="R4" s="83"/>
    </row>
    <row r="5" spans="1:18" x14ac:dyDescent="0.3">
      <c r="A5" s="9"/>
      <c r="B5" s="16"/>
      <c r="C5" s="16"/>
      <c r="D5" s="16"/>
      <c r="E5" s="16"/>
      <c r="F5" s="51" t="s">
        <v>57</v>
      </c>
      <c r="G5" s="52"/>
      <c r="H5" s="53"/>
      <c r="I5" s="53"/>
      <c r="J5" s="86"/>
      <c r="K5" s="90" t="s">
        <v>40</v>
      </c>
      <c r="L5" s="16"/>
      <c r="M5" s="16"/>
      <c r="N5" s="58">
        <v>0.15</v>
      </c>
      <c r="O5" s="75"/>
      <c r="P5" s="76"/>
      <c r="Q5" s="53"/>
      <c r="R5" s="59"/>
    </row>
    <row r="6" spans="1:18" s="28" customFormat="1" ht="41.25" customHeight="1" x14ac:dyDescent="0.3">
      <c r="A6" s="38" t="s">
        <v>1</v>
      </c>
      <c r="B6" s="31" t="s">
        <v>2</v>
      </c>
      <c r="C6" s="31" t="s">
        <v>3</v>
      </c>
      <c r="D6" s="31" t="s">
        <v>4</v>
      </c>
      <c r="E6" s="31" t="s">
        <v>21</v>
      </c>
      <c r="F6" s="32" t="s">
        <v>45</v>
      </c>
      <c r="G6" s="32" t="s">
        <v>5</v>
      </c>
      <c r="H6" s="31" t="s">
        <v>17</v>
      </c>
      <c r="I6" s="32" t="s">
        <v>6</v>
      </c>
      <c r="J6" s="86"/>
      <c r="K6" s="31" t="s">
        <v>2</v>
      </c>
      <c r="L6" s="31" t="s">
        <v>3</v>
      </c>
      <c r="M6" s="31" t="s">
        <v>4</v>
      </c>
      <c r="N6" s="31" t="s">
        <v>21</v>
      </c>
      <c r="O6" s="32" t="s">
        <v>46</v>
      </c>
      <c r="P6" s="32" t="s">
        <v>5</v>
      </c>
      <c r="Q6" s="31" t="s">
        <v>17</v>
      </c>
      <c r="R6" s="60" t="s">
        <v>6</v>
      </c>
    </row>
    <row r="7" spans="1:18" x14ac:dyDescent="0.3">
      <c r="A7" s="54" t="s">
        <v>38</v>
      </c>
      <c r="B7" s="29" t="s">
        <v>9</v>
      </c>
      <c r="C7" s="29" t="s">
        <v>9</v>
      </c>
      <c r="D7" s="29" t="s">
        <v>7</v>
      </c>
      <c r="E7" s="29" t="s">
        <v>16</v>
      </c>
      <c r="F7" s="30" t="s">
        <v>8</v>
      </c>
      <c r="G7" s="30"/>
      <c r="H7" s="29"/>
      <c r="I7" s="30"/>
      <c r="J7" s="86"/>
      <c r="K7" s="29" t="s">
        <v>9</v>
      </c>
      <c r="L7" s="29" t="s">
        <v>9</v>
      </c>
      <c r="M7" s="29" t="s">
        <v>7</v>
      </c>
      <c r="N7" s="29" t="s">
        <v>16</v>
      </c>
      <c r="O7" s="30" t="s">
        <v>8</v>
      </c>
      <c r="P7" s="30"/>
      <c r="Q7" s="29"/>
      <c r="R7" s="61"/>
    </row>
    <row r="8" spans="1:18" x14ac:dyDescent="0.3">
      <c r="A8" s="108" t="s">
        <v>64</v>
      </c>
      <c r="B8" s="4">
        <v>470</v>
      </c>
      <c r="C8" s="4">
        <v>7.4</v>
      </c>
      <c r="D8" s="27">
        <f>B8*C8</f>
        <v>3478</v>
      </c>
      <c r="E8" s="4"/>
      <c r="F8" s="5">
        <v>593.4990118577075</v>
      </c>
      <c r="G8" s="5">
        <f>F8*D8</f>
        <v>2064189.5632411067</v>
      </c>
      <c r="H8" s="10">
        <v>0.5</v>
      </c>
      <c r="I8" s="5">
        <f>+G8*H8</f>
        <v>1032094.7816205533</v>
      </c>
      <c r="J8" s="86"/>
      <c r="K8" s="39">
        <v>428</v>
      </c>
      <c r="L8" s="40">
        <f>C8</f>
        <v>7.4</v>
      </c>
      <c r="M8" s="40">
        <f>L8*K8</f>
        <v>3167.2000000000003</v>
      </c>
      <c r="N8" s="39"/>
      <c r="O8" s="5">
        <v>734.04</v>
      </c>
      <c r="P8" s="5">
        <f>M8*O8</f>
        <v>2324851.4879999999</v>
      </c>
      <c r="Q8" s="10">
        <v>0.5</v>
      </c>
      <c r="R8" s="62">
        <f>+P8*Q8</f>
        <v>1162425.7439999999</v>
      </c>
    </row>
    <row r="9" spans="1:18" x14ac:dyDescent="0.3">
      <c r="A9" s="108" t="s">
        <v>65</v>
      </c>
      <c r="B9" s="4"/>
      <c r="C9" s="27">
        <v>5</v>
      </c>
      <c r="D9" s="27">
        <v>570</v>
      </c>
      <c r="E9" s="4"/>
      <c r="F9" s="5">
        <v>593.4990118577075</v>
      </c>
      <c r="G9" s="5">
        <f>F9*D9</f>
        <v>338294.43675889325</v>
      </c>
      <c r="H9" s="10">
        <v>0.5</v>
      </c>
      <c r="I9" s="5">
        <f>+G9*H9</f>
        <v>169147.21837944663</v>
      </c>
      <c r="J9" s="86"/>
      <c r="K9" s="39">
        <v>110</v>
      </c>
      <c r="L9" s="40">
        <v>5</v>
      </c>
      <c r="M9" s="39">
        <f>L9*K9</f>
        <v>550</v>
      </c>
      <c r="N9" s="39"/>
      <c r="O9" s="5">
        <v>734.04</v>
      </c>
      <c r="P9" s="5">
        <f>M9*O9</f>
        <v>403722</v>
      </c>
      <c r="Q9" s="10">
        <v>0.5</v>
      </c>
      <c r="R9" s="62">
        <f>+P9*Q9</f>
        <v>201861</v>
      </c>
    </row>
    <row r="10" spans="1:18" x14ac:dyDescent="0.3">
      <c r="A10" s="108" t="s">
        <v>66</v>
      </c>
      <c r="B10" s="4">
        <v>100</v>
      </c>
      <c r="C10" s="74" t="s">
        <v>58</v>
      </c>
      <c r="D10" s="27">
        <v>963.8</v>
      </c>
      <c r="E10" s="4"/>
      <c r="F10" s="5">
        <v>593.4990118577075</v>
      </c>
      <c r="G10" s="5">
        <f>572020</f>
        <v>572020</v>
      </c>
      <c r="H10" s="10">
        <v>1</v>
      </c>
      <c r="I10" s="5">
        <f>+G10*H10</f>
        <v>572020</v>
      </c>
      <c r="J10" s="86"/>
      <c r="K10" s="39">
        <f t="shared" ref="K10" si="0">B10</f>
        <v>100</v>
      </c>
      <c r="L10" s="40">
        <v>7.4</v>
      </c>
      <c r="M10" s="39">
        <f>K10*L10</f>
        <v>740</v>
      </c>
      <c r="N10" s="39"/>
      <c r="O10" s="5">
        <v>734.04</v>
      </c>
      <c r="P10" s="5">
        <f>M10*O10</f>
        <v>543189.6</v>
      </c>
      <c r="Q10" s="10">
        <v>1</v>
      </c>
      <c r="R10" s="62">
        <f>+P10*Q10</f>
        <v>543189.6</v>
      </c>
    </row>
    <row r="11" spans="1:18" s="107" customFormat="1" x14ac:dyDescent="0.3">
      <c r="A11" s="108"/>
      <c r="B11" s="108"/>
      <c r="C11" s="111"/>
      <c r="D11" s="110"/>
      <c r="E11" s="108"/>
      <c r="F11" s="5"/>
      <c r="G11" s="5"/>
      <c r="H11" s="109"/>
      <c r="I11" s="5"/>
      <c r="J11" s="86"/>
      <c r="K11" s="39"/>
      <c r="L11" s="40"/>
      <c r="M11" s="39"/>
      <c r="N11" s="39"/>
      <c r="O11" s="5"/>
      <c r="P11" s="5"/>
      <c r="Q11" s="109"/>
      <c r="R11" s="62"/>
    </row>
    <row r="12" spans="1:18" x14ac:dyDescent="0.3">
      <c r="A12" s="3" t="s">
        <v>33</v>
      </c>
      <c r="B12" s="3"/>
      <c r="C12" s="3"/>
      <c r="D12" s="42">
        <f>SUM(D8:D10)</f>
        <v>5011.8</v>
      </c>
      <c r="E12" s="3"/>
      <c r="F12" s="7"/>
      <c r="G12" s="43">
        <f>SUM(G8:G10)</f>
        <v>2974504</v>
      </c>
      <c r="H12" s="44"/>
      <c r="I12" s="43">
        <f>SUM(I8:I10)</f>
        <v>1773262</v>
      </c>
      <c r="J12" s="86"/>
      <c r="K12" s="45"/>
      <c r="L12" s="45"/>
      <c r="M12" s="45"/>
      <c r="N12" s="45"/>
      <c r="O12" s="7"/>
      <c r="P12" s="43">
        <f>SUM(P8:P10)</f>
        <v>3271763.088</v>
      </c>
      <c r="Q12" s="44"/>
      <c r="R12" s="63">
        <f>SUM(R8:R10)</f>
        <v>1907476.344</v>
      </c>
    </row>
    <row r="13" spans="1:18" x14ac:dyDescent="0.3">
      <c r="A13" s="4"/>
      <c r="B13" s="4"/>
      <c r="C13" s="4"/>
      <c r="D13" s="27"/>
      <c r="E13" s="4"/>
      <c r="F13" s="5"/>
      <c r="G13" s="5"/>
      <c r="H13" s="4"/>
      <c r="I13" s="5"/>
      <c r="J13" s="86"/>
      <c r="K13" s="91"/>
      <c r="L13" s="39"/>
      <c r="M13" s="39"/>
      <c r="N13" s="39"/>
      <c r="O13" s="5"/>
      <c r="P13" s="5"/>
      <c r="Q13" s="4"/>
      <c r="R13" s="62"/>
    </row>
    <row r="14" spans="1:18" s="2" customFormat="1" x14ac:dyDescent="0.3">
      <c r="A14" s="54" t="s">
        <v>39</v>
      </c>
      <c r="B14" s="14"/>
      <c r="C14" s="14"/>
      <c r="D14" s="14"/>
      <c r="E14" s="14"/>
      <c r="F14" s="15"/>
      <c r="G14" s="15"/>
      <c r="H14" s="14"/>
      <c r="I14" s="15"/>
      <c r="J14" s="86"/>
      <c r="K14" s="92"/>
      <c r="L14" s="15"/>
      <c r="M14" s="15"/>
      <c r="N14" s="15"/>
      <c r="O14" s="15"/>
      <c r="P14" s="15"/>
      <c r="Q14" s="14"/>
      <c r="R14" s="64"/>
    </row>
    <row r="15" spans="1:18" s="2" customFormat="1" x14ac:dyDescent="0.3">
      <c r="A15" s="34" t="s">
        <v>29</v>
      </c>
      <c r="B15" s="4"/>
      <c r="C15" s="3"/>
      <c r="D15" s="3"/>
      <c r="E15" s="4"/>
      <c r="F15" s="12"/>
      <c r="G15" s="12"/>
      <c r="H15" s="10"/>
      <c r="I15" s="5"/>
      <c r="J15" s="86"/>
      <c r="K15" s="91"/>
      <c r="L15" s="39"/>
      <c r="M15" s="39"/>
      <c r="N15" s="39"/>
      <c r="O15" s="12"/>
      <c r="P15" s="12"/>
      <c r="Q15" s="10"/>
      <c r="R15" s="62"/>
    </row>
    <row r="16" spans="1:18" s="2" customFormat="1" x14ac:dyDescent="0.3">
      <c r="A16" s="33" t="s">
        <v>50</v>
      </c>
      <c r="B16" s="4">
        <v>550</v>
      </c>
      <c r="C16" s="3"/>
      <c r="D16" s="3"/>
      <c r="E16" s="41"/>
      <c r="F16" s="41">
        <f>G16/B16</f>
        <v>4252.6272727272726</v>
      </c>
      <c r="G16" s="41">
        <f>2338945</f>
        <v>2338945</v>
      </c>
      <c r="H16" s="10">
        <v>1</v>
      </c>
      <c r="I16" s="5">
        <f t="shared" ref="I16" si="1">+G16*H16</f>
        <v>2338945</v>
      </c>
      <c r="J16" s="86"/>
      <c r="K16" s="91">
        <v>589</v>
      </c>
      <c r="L16" s="39"/>
      <c r="M16" s="39"/>
      <c r="N16" s="39"/>
      <c r="O16" s="5">
        <v>2605.9</v>
      </c>
      <c r="P16" s="5">
        <f t="shared" ref="P16" si="2">+O16*K16</f>
        <v>1534875.1</v>
      </c>
      <c r="Q16" s="10">
        <v>1</v>
      </c>
      <c r="R16" s="62">
        <f t="shared" ref="R16" si="3">+P16*Q16</f>
        <v>1534875.1</v>
      </c>
    </row>
    <row r="17" spans="1:20" s="2" customFormat="1" x14ac:dyDescent="0.3">
      <c r="A17" s="33" t="s">
        <v>51</v>
      </c>
      <c r="B17" s="4"/>
      <c r="C17" s="3"/>
      <c r="D17" s="3"/>
      <c r="E17" s="41"/>
      <c r="F17" s="41" t="s">
        <v>49</v>
      </c>
      <c r="G17" s="41"/>
      <c r="H17" s="10"/>
      <c r="I17" s="41" t="s">
        <v>49</v>
      </c>
      <c r="J17" s="86"/>
      <c r="K17" s="91">
        <v>80</v>
      </c>
      <c r="L17" s="39"/>
      <c r="M17" s="39"/>
      <c r="N17" s="39"/>
      <c r="O17" s="5">
        <v>751.87</v>
      </c>
      <c r="P17" s="5">
        <f t="shared" ref="P17" si="4">+O17*K17</f>
        <v>60149.599999999999</v>
      </c>
      <c r="Q17" s="10">
        <v>0.5</v>
      </c>
      <c r="R17" s="62">
        <f>+P17*Q17</f>
        <v>30074.799999999999</v>
      </c>
    </row>
    <row r="18" spans="1:20" s="2" customFormat="1" x14ac:dyDescent="0.3">
      <c r="A18" s="33" t="s">
        <v>30</v>
      </c>
      <c r="B18" s="4"/>
      <c r="C18" s="3"/>
      <c r="D18" s="3"/>
      <c r="E18" s="4"/>
      <c r="F18" s="41"/>
      <c r="G18" s="41"/>
      <c r="H18" s="10"/>
      <c r="I18" s="5"/>
      <c r="J18" s="86"/>
      <c r="K18" s="91"/>
      <c r="L18" s="39"/>
      <c r="M18" s="39"/>
      <c r="N18" s="39"/>
      <c r="O18" s="5"/>
      <c r="P18" s="5"/>
      <c r="Q18" s="10"/>
      <c r="R18" s="62"/>
    </row>
    <row r="19" spans="1:20" s="2" customFormat="1" x14ac:dyDescent="0.3">
      <c r="A19" s="72" t="s">
        <v>52</v>
      </c>
      <c r="B19" s="4"/>
      <c r="C19" s="3"/>
      <c r="D19" s="3"/>
      <c r="E19" s="4"/>
      <c r="F19" s="41" t="s">
        <v>49</v>
      </c>
      <c r="G19" s="41"/>
      <c r="H19" s="10"/>
      <c r="I19" s="41" t="s">
        <v>49</v>
      </c>
      <c r="J19" s="86"/>
      <c r="K19" s="91"/>
      <c r="L19" s="39"/>
      <c r="M19" s="39"/>
      <c r="N19" s="39">
        <v>4</v>
      </c>
      <c r="O19" s="5">
        <v>10675.47</v>
      </c>
      <c r="P19" s="5">
        <f>O19*N19</f>
        <v>42701.88</v>
      </c>
      <c r="Q19" s="10">
        <v>0.5</v>
      </c>
      <c r="R19" s="62">
        <f>+P19*Q19</f>
        <v>21350.94</v>
      </c>
    </row>
    <row r="20" spans="1:20" s="2" customFormat="1" x14ac:dyDescent="0.3">
      <c r="A20" s="72" t="s">
        <v>60</v>
      </c>
      <c r="B20" s="4"/>
      <c r="C20" s="3"/>
      <c r="D20" s="3"/>
      <c r="E20" s="4"/>
      <c r="F20" s="41" t="s">
        <v>49</v>
      </c>
      <c r="G20" s="41"/>
      <c r="H20" s="10"/>
      <c r="I20" s="5" t="s">
        <v>49</v>
      </c>
      <c r="J20" s="86"/>
      <c r="K20" s="91"/>
      <c r="L20" s="39"/>
      <c r="M20" s="39"/>
      <c r="N20" s="39">
        <v>4</v>
      </c>
      <c r="O20" s="5">
        <v>10675.47</v>
      </c>
      <c r="P20" s="5">
        <f>O20*N20</f>
        <v>42701.88</v>
      </c>
      <c r="Q20" s="10">
        <v>0.5</v>
      </c>
      <c r="R20" s="62">
        <f>+P20*Q20</f>
        <v>21350.94</v>
      </c>
    </row>
    <row r="21" spans="1:20" s="2" customFormat="1" x14ac:dyDescent="0.3">
      <c r="A21" s="72" t="s">
        <v>53</v>
      </c>
      <c r="B21" s="4"/>
      <c r="C21" s="3"/>
      <c r="D21" s="3"/>
      <c r="E21" s="4"/>
      <c r="F21" s="41" t="s">
        <v>49</v>
      </c>
      <c r="G21" s="41"/>
      <c r="H21" s="10"/>
      <c r="I21" s="41" t="s">
        <v>49</v>
      </c>
      <c r="J21" s="86"/>
      <c r="K21" s="91"/>
      <c r="L21" s="39"/>
      <c r="M21" s="39"/>
      <c r="N21" s="39">
        <v>6</v>
      </c>
      <c r="O21" s="5">
        <v>15134.63</v>
      </c>
      <c r="P21" s="5">
        <f>O21*N21</f>
        <v>90807.78</v>
      </c>
      <c r="Q21" s="10">
        <v>0.5</v>
      </c>
      <c r="R21" s="62">
        <f>+P21*Q21</f>
        <v>45403.89</v>
      </c>
    </row>
    <row r="22" spans="1:20" s="2" customFormat="1" x14ac:dyDescent="0.3">
      <c r="A22" s="72" t="s">
        <v>54</v>
      </c>
      <c r="B22" s="4"/>
      <c r="C22" s="3"/>
      <c r="D22" s="3"/>
      <c r="E22" s="4"/>
      <c r="F22" s="41" t="s">
        <v>49</v>
      </c>
      <c r="G22" s="41"/>
      <c r="H22" s="10"/>
      <c r="I22" s="41" t="s">
        <v>49</v>
      </c>
      <c r="J22" s="86"/>
      <c r="K22" s="91"/>
      <c r="L22" s="39"/>
      <c r="M22" s="39"/>
      <c r="N22" s="39">
        <v>1</v>
      </c>
      <c r="O22" s="5">
        <v>25356.81</v>
      </c>
      <c r="P22" s="5">
        <f>O22*N22</f>
        <v>25356.81</v>
      </c>
      <c r="Q22" s="10">
        <v>0.5</v>
      </c>
      <c r="R22" s="62">
        <f>+P22*Q22</f>
        <v>12678.405000000001</v>
      </c>
    </row>
    <row r="23" spans="1:20" s="2" customFormat="1" x14ac:dyDescent="0.3">
      <c r="A23" s="72" t="s">
        <v>55</v>
      </c>
      <c r="B23" s="4"/>
      <c r="C23" s="3"/>
      <c r="D23" s="3"/>
      <c r="E23" s="4"/>
      <c r="F23" s="41" t="s">
        <v>49</v>
      </c>
      <c r="G23" s="41"/>
      <c r="H23" s="10"/>
      <c r="I23" s="41" t="s">
        <v>49</v>
      </c>
      <c r="J23" s="86"/>
      <c r="K23" s="91"/>
      <c r="L23" s="39"/>
      <c r="M23" s="39"/>
      <c r="N23" s="39">
        <v>8</v>
      </c>
      <c r="O23" s="5">
        <v>16884.419999999998</v>
      </c>
      <c r="P23" s="5">
        <f>O23*N23</f>
        <v>135075.35999999999</v>
      </c>
      <c r="Q23" s="10">
        <v>0.5</v>
      </c>
      <c r="R23" s="62">
        <f>+P23*Q23</f>
        <v>67537.679999999993</v>
      </c>
    </row>
    <row r="24" spans="1:20" s="2" customFormat="1" x14ac:dyDescent="0.3">
      <c r="A24" s="72"/>
      <c r="B24" s="4"/>
      <c r="C24" s="3"/>
      <c r="D24" s="3"/>
      <c r="E24" s="4"/>
      <c r="F24" s="41"/>
      <c r="G24" s="41"/>
      <c r="H24" s="10"/>
      <c r="I24" s="41"/>
      <c r="J24" s="86"/>
      <c r="K24" s="91"/>
      <c r="L24" s="39"/>
      <c r="M24" s="39"/>
      <c r="N24" s="39"/>
      <c r="O24" s="5"/>
      <c r="P24" s="5"/>
      <c r="Q24" s="10"/>
      <c r="R24" s="62"/>
    </row>
    <row r="25" spans="1:20" s="2" customFormat="1" x14ac:dyDescent="0.3">
      <c r="A25" s="72"/>
      <c r="B25" s="4"/>
      <c r="C25" s="3"/>
      <c r="D25" s="3"/>
      <c r="E25" s="4"/>
      <c r="F25" s="41"/>
      <c r="G25" s="41"/>
      <c r="H25" s="10"/>
      <c r="I25" s="41"/>
      <c r="J25" s="86"/>
      <c r="K25" s="91"/>
      <c r="L25" s="39"/>
      <c r="M25" s="39"/>
      <c r="N25" s="39"/>
      <c r="O25" s="5"/>
      <c r="P25" s="5"/>
      <c r="Q25" s="10"/>
      <c r="R25" s="62"/>
    </row>
    <row r="26" spans="1:20" s="2" customFormat="1" x14ac:dyDescent="0.3">
      <c r="A26" s="3" t="s">
        <v>34</v>
      </c>
      <c r="B26" s="3">
        <f>SUM(B15:B23)</f>
        <v>550</v>
      </c>
      <c r="C26" s="3"/>
      <c r="D26" s="3"/>
      <c r="E26" s="43"/>
      <c r="F26" s="7"/>
      <c r="G26" s="7">
        <f>SUM(G15:G23)</f>
        <v>2338945</v>
      </c>
      <c r="H26" s="44"/>
      <c r="I26" s="7">
        <f>SUM(I15:I23)</f>
        <v>2338945</v>
      </c>
      <c r="J26" s="86"/>
      <c r="K26" s="93"/>
      <c r="L26" s="45"/>
      <c r="M26" s="45"/>
      <c r="N26" s="45"/>
      <c r="O26" s="7"/>
      <c r="P26" s="7">
        <f>SUM(P15:P23)</f>
        <v>1931668.4100000001</v>
      </c>
      <c r="Q26" s="44"/>
      <c r="R26" s="65">
        <f>SUM(R15:R23)</f>
        <v>1733271.7549999999</v>
      </c>
    </row>
    <row r="27" spans="1:20" s="2" customFormat="1" x14ac:dyDescent="0.3">
      <c r="A27" s="33"/>
      <c r="B27" s="4"/>
      <c r="C27" s="3"/>
      <c r="D27" s="3"/>
      <c r="E27" s="4"/>
      <c r="F27" s="12"/>
      <c r="G27" s="12"/>
      <c r="H27" s="10"/>
      <c r="I27" s="5"/>
      <c r="J27" s="86"/>
      <c r="K27" s="94"/>
      <c r="L27" s="39"/>
      <c r="M27" s="39"/>
      <c r="N27" s="39"/>
      <c r="O27" s="5"/>
      <c r="P27" s="5"/>
      <c r="Q27" s="10"/>
      <c r="R27" s="62"/>
    </row>
    <row r="28" spans="1:20" x14ac:dyDescent="0.3">
      <c r="A28" s="35"/>
      <c r="B28" s="6"/>
      <c r="C28" s="6"/>
      <c r="D28" s="6"/>
      <c r="E28" s="6"/>
      <c r="F28" s="8"/>
      <c r="G28" s="8"/>
      <c r="H28" s="10"/>
      <c r="I28" s="5"/>
      <c r="J28" s="86"/>
      <c r="K28" s="94"/>
      <c r="L28" s="8"/>
      <c r="M28" s="8"/>
      <c r="N28" s="8"/>
      <c r="O28" s="8"/>
      <c r="P28" s="8"/>
      <c r="Q28" s="46"/>
      <c r="R28" s="66"/>
    </row>
    <row r="29" spans="1:20" ht="15" thickBot="1" x14ac:dyDescent="0.35">
      <c r="A29" s="49" t="s">
        <v>47</v>
      </c>
      <c r="B29" s="49"/>
      <c r="C29" s="49"/>
      <c r="D29" s="49"/>
      <c r="E29" s="49"/>
      <c r="F29" s="50"/>
      <c r="G29" s="50"/>
      <c r="H29" s="49"/>
      <c r="I29" s="50"/>
      <c r="J29" s="86"/>
      <c r="K29" s="95" t="s">
        <v>35</v>
      </c>
      <c r="L29" s="49"/>
      <c r="M29" s="49"/>
      <c r="N29" s="49"/>
      <c r="O29" s="50"/>
      <c r="P29" s="50">
        <f>P26+P12</f>
        <v>5203431.4979999997</v>
      </c>
      <c r="Q29" s="49"/>
      <c r="R29" s="50">
        <f>R26+R12</f>
        <v>3640748.0989999999</v>
      </c>
      <c r="T29" s="73"/>
    </row>
    <row r="30" spans="1:20" s="23" customFormat="1" ht="15.6" thickTop="1" thickBot="1" x14ac:dyDescent="0.35">
      <c r="A30" s="49" t="s">
        <v>36</v>
      </c>
      <c r="B30" s="49"/>
      <c r="C30" s="49"/>
      <c r="D30" s="49"/>
      <c r="E30" s="49"/>
      <c r="F30" s="50"/>
      <c r="G30" s="50">
        <f>G26+G12</f>
        <v>5313449</v>
      </c>
      <c r="H30" s="49"/>
      <c r="I30" s="50">
        <f>I12+I26</f>
        <v>4112207</v>
      </c>
      <c r="J30" s="86"/>
      <c r="K30" s="95" t="s">
        <v>36</v>
      </c>
      <c r="L30" s="49"/>
      <c r="M30" s="49"/>
      <c r="N30" s="49"/>
      <c r="O30" s="50"/>
      <c r="P30" s="50">
        <f>P29*1.15</f>
        <v>5983946.2226999989</v>
      </c>
      <c r="Q30" s="49"/>
      <c r="R30" s="67">
        <f>R29*1.15</f>
        <v>4186860.3138499996</v>
      </c>
    </row>
    <row r="31" spans="1:20" s="23" customFormat="1" ht="15" thickTop="1" x14ac:dyDescent="0.3">
      <c r="A31" s="47"/>
      <c r="B31" s="47"/>
      <c r="C31" s="47"/>
      <c r="D31" s="47"/>
      <c r="E31" s="47"/>
      <c r="F31" s="48"/>
      <c r="G31" s="48"/>
      <c r="H31" s="47"/>
      <c r="I31" s="48"/>
      <c r="J31" s="86"/>
      <c r="K31" s="96"/>
      <c r="L31" s="48"/>
      <c r="M31" s="48"/>
      <c r="N31" s="48"/>
      <c r="O31" s="48"/>
      <c r="P31" s="48"/>
      <c r="Q31" s="47"/>
      <c r="R31" s="68"/>
    </row>
    <row r="32" spans="1:20" x14ac:dyDescent="0.3">
      <c r="A32" s="3" t="s">
        <v>37</v>
      </c>
      <c r="B32" s="3"/>
      <c r="C32" s="3"/>
      <c r="D32" s="3"/>
      <c r="E32" s="3"/>
      <c r="F32" s="7"/>
      <c r="G32" s="7"/>
      <c r="H32" s="10"/>
      <c r="I32" s="7"/>
      <c r="J32" s="86"/>
      <c r="K32" s="93"/>
      <c r="L32" s="7"/>
      <c r="M32" s="7"/>
      <c r="N32" s="7"/>
      <c r="O32" s="7"/>
      <c r="P32" s="7"/>
      <c r="Q32" s="10"/>
      <c r="R32" s="65"/>
    </row>
    <row r="33" spans="1:19" x14ac:dyDescent="0.3">
      <c r="A33" s="4" t="s">
        <v>10</v>
      </c>
      <c r="B33" s="4"/>
      <c r="C33" s="4"/>
      <c r="D33" s="4"/>
      <c r="E33" s="4"/>
      <c r="F33" s="5"/>
      <c r="G33" s="5"/>
      <c r="H33" s="10"/>
      <c r="I33" s="5" t="s">
        <v>18</v>
      </c>
      <c r="J33" s="86"/>
      <c r="K33" s="94"/>
      <c r="L33" s="5"/>
      <c r="M33" s="5"/>
      <c r="N33" s="5"/>
      <c r="O33" s="5"/>
      <c r="P33" s="5"/>
      <c r="Q33" s="10"/>
      <c r="R33" s="62" t="s">
        <v>18</v>
      </c>
    </row>
    <row r="34" spans="1:19" x14ac:dyDescent="0.3">
      <c r="A34" s="4" t="s">
        <v>11</v>
      </c>
      <c r="B34" s="4"/>
      <c r="C34" s="4"/>
      <c r="D34" s="4"/>
      <c r="E34" s="4"/>
      <c r="F34" s="5"/>
      <c r="G34" s="5"/>
      <c r="H34" s="10"/>
      <c r="I34" s="5" t="s">
        <v>18</v>
      </c>
      <c r="J34" s="86"/>
      <c r="K34" s="94"/>
      <c r="L34" s="5"/>
      <c r="M34" s="5"/>
      <c r="N34" s="5"/>
      <c r="O34" s="5"/>
      <c r="P34" s="5"/>
      <c r="Q34" s="10"/>
      <c r="R34" s="62" t="s">
        <v>18</v>
      </c>
    </row>
    <row r="35" spans="1:19" x14ac:dyDescent="0.3">
      <c r="A35" s="6" t="s">
        <v>12</v>
      </c>
      <c r="B35" s="6"/>
      <c r="C35" s="6"/>
      <c r="D35" s="6"/>
      <c r="E35" s="6"/>
      <c r="F35" s="5"/>
      <c r="G35" s="8"/>
      <c r="H35" s="10"/>
      <c r="I35" s="8" t="s">
        <v>18</v>
      </c>
      <c r="J35" s="86"/>
      <c r="K35" s="97"/>
      <c r="L35" s="8"/>
      <c r="M35" s="8"/>
      <c r="N35" s="8"/>
      <c r="O35" s="8"/>
      <c r="P35" s="8"/>
      <c r="Q35" s="46"/>
      <c r="R35" s="66" t="s">
        <v>18</v>
      </c>
    </row>
    <row r="36" spans="1:19" s="2" customFormat="1" x14ac:dyDescent="0.3">
      <c r="A36" s="3" t="s">
        <v>14</v>
      </c>
      <c r="B36" s="3"/>
      <c r="C36" s="3"/>
      <c r="D36" s="3"/>
      <c r="E36" s="3"/>
      <c r="F36" s="7"/>
      <c r="G36" s="7">
        <f>+G30+G32</f>
        <v>5313449</v>
      </c>
      <c r="H36" s="10"/>
      <c r="I36" s="7">
        <f>+I30+I32</f>
        <v>4112207</v>
      </c>
      <c r="J36" s="86"/>
      <c r="K36" s="93"/>
      <c r="L36" s="7"/>
      <c r="M36" s="7"/>
      <c r="N36" s="7"/>
      <c r="O36" s="7"/>
      <c r="P36" s="7">
        <f>+P30+P32</f>
        <v>5983946.2226999989</v>
      </c>
      <c r="Q36" s="10"/>
      <c r="R36" s="65">
        <f>+R30+R32</f>
        <v>4186860.3138499996</v>
      </c>
    </row>
    <row r="37" spans="1:19" s="17" customFormat="1" x14ac:dyDescent="0.3">
      <c r="A37" s="36" t="s">
        <v>67</v>
      </c>
      <c r="B37" s="18"/>
      <c r="C37" s="18"/>
      <c r="D37" s="18"/>
      <c r="E37" s="18"/>
      <c r="F37" s="19"/>
      <c r="G37" s="19"/>
      <c r="H37" s="20"/>
      <c r="I37" s="21"/>
      <c r="J37" s="86"/>
      <c r="K37" s="98"/>
      <c r="L37" s="19"/>
      <c r="M37" s="19"/>
      <c r="N37" s="19"/>
      <c r="O37" s="19"/>
      <c r="P37" s="19"/>
      <c r="Q37" s="22"/>
      <c r="R37" s="69"/>
    </row>
    <row r="38" spans="1:19" s="2" customFormat="1" x14ac:dyDescent="0.3">
      <c r="A38" s="33" t="s">
        <v>59</v>
      </c>
      <c r="B38" s="4">
        <v>550</v>
      </c>
      <c r="C38" s="3"/>
      <c r="D38" s="3"/>
      <c r="E38" s="41"/>
      <c r="F38" s="41">
        <f>G38/B38</f>
        <v>711.81818181818187</v>
      </c>
      <c r="G38" s="41">
        <f>(2338945-1947445)</f>
        <v>391500</v>
      </c>
      <c r="H38" s="10">
        <v>1</v>
      </c>
      <c r="I38" s="5">
        <f>-G38*H38</f>
        <v>-391500</v>
      </c>
      <c r="J38" s="86"/>
      <c r="K38" s="91">
        <v>589</v>
      </c>
      <c r="L38" s="39"/>
      <c r="M38" s="39"/>
      <c r="N38" s="39"/>
      <c r="O38" s="5">
        <f>751.87*1.15</f>
        <v>864.65049999999997</v>
      </c>
      <c r="P38" s="5">
        <f>+O38*K38</f>
        <v>509279.14449999999</v>
      </c>
      <c r="Q38" s="10">
        <v>1</v>
      </c>
      <c r="R38" s="66">
        <f>-P38*Q38</f>
        <v>-509279.14449999999</v>
      </c>
    </row>
    <row r="39" spans="1:19" x14ac:dyDescent="0.3">
      <c r="A39" s="6" t="s">
        <v>31</v>
      </c>
      <c r="B39" s="6"/>
      <c r="C39" s="6"/>
      <c r="D39" s="6"/>
      <c r="E39" s="6"/>
      <c r="F39" s="8"/>
      <c r="G39" s="8">
        <f>206902.73</f>
        <v>206902.73</v>
      </c>
      <c r="H39" s="10"/>
      <c r="I39" s="5">
        <f>-G39</f>
        <v>-206902.73</v>
      </c>
      <c r="J39" s="86"/>
      <c r="K39" s="97"/>
      <c r="L39" s="8"/>
      <c r="M39" s="8"/>
      <c r="N39" s="8"/>
      <c r="O39" s="8"/>
      <c r="P39" s="8">
        <f>G39*1.15/1.14</f>
        <v>208717.66622807019</v>
      </c>
      <c r="Q39" s="46"/>
      <c r="R39" s="66">
        <f>I39*1.15/1.14</f>
        <v>-208717.66622807019</v>
      </c>
    </row>
    <row r="40" spans="1:19" x14ac:dyDescent="0.3">
      <c r="A40" s="24" t="s">
        <v>19</v>
      </c>
      <c r="B40" s="14"/>
      <c r="C40" s="14"/>
      <c r="D40" s="14"/>
      <c r="E40" s="14"/>
      <c r="F40" s="15"/>
      <c r="G40" s="15"/>
      <c r="H40" s="14"/>
      <c r="I40" s="15">
        <f>SUM(I36:I39)</f>
        <v>3513804.27</v>
      </c>
      <c r="J40" s="86"/>
      <c r="K40" s="99"/>
      <c r="L40" s="15"/>
      <c r="M40" s="15"/>
      <c r="N40" s="15"/>
      <c r="O40" s="15"/>
      <c r="P40" s="15"/>
      <c r="Q40" s="14"/>
      <c r="R40" s="71">
        <f>SUM(R36:R39)</f>
        <v>3468863.5031219292</v>
      </c>
      <c r="S40" s="25"/>
    </row>
    <row r="41" spans="1:19" x14ac:dyDescent="0.3">
      <c r="A41" s="24"/>
      <c r="B41" s="14"/>
      <c r="C41" s="14"/>
      <c r="D41" s="14"/>
      <c r="E41" s="14"/>
      <c r="F41" s="15"/>
      <c r="G41" s="15"/>
      <c r="H41" s="14"/>
      <c r="I41" s="15"/>
      <c r="J41" s="86"/>
      <c r="K41" s="99"/>
      <c r="L41" s="15"/>
      <c r="M41" s="15"/>
      <c r="N41" s="15"/>
      <c r="O41" s="15"/>
      <c r="P41" s="15"/>
      <c r="Q41" s="14"/>
      <c r="R41" s="64"/>
      <c r="S41" s="25"/>
    </row>
    <row r="42" spans="1:19" x14ac:dyDescent="0.3">
      <c r="A42" s="13" t="s">
        <v>20</v>
      </c>
      <c r="B42" s="14"/>
      <c r="C42" s="14"/>
      <c r="D42" s="14"/>
      <c r="E42" s="14"/>
      <c r="F42" s="15"/>
      <c r="G42" s="15"/>
      <c r="H42" s="14"/>
      <c r="I42" s="15">
        <f>+I40</f>
        <v>3513804.27</v>
      </c>
      <c r="J42" s="86"/>
      <c r="K42" s="99"/>
      <c r="L42" s="15"/>
      <c r="M42" s="15"/>
      <c r="N42" s="15"/>
      <c r="O42" s="15"/>
      <c r="P42" s="15"/>
      <c r="Q42" s="14"/>
      <c r="R42" s="64">
        <f>I42</f>
        <v>3513804.27</v>
      </c>
    </row>
    <row r="43" spans="1:19" x14ac:dyDescent="0.3">
      <c r="A43" s="13"/>
      <c r="B43" s="14"/>
      <c r="C43" s="14"/>
      <c r="D43" s="14"/>
      <c r="E43" s="14"/>
      <c r="F43" s="15"/>
      <c r="G43" s="15"/>
      <c r="H43" s="14"/>
      <c r="I43" s="15"/>
      <c r="J43" s="86"/>
      <c r="K43" s="99"/>
      <c r="L43" s="15"/>
      <c r="M43" s="15"/>
      <c r="N43" s="15"/>
      <c r="O43" s="15"/>
      <c r="P43" s="15"/>
      <c r="Q43" s="14"/>
      <c r="R43" s="64"/>
    </row>
    <row r="44" spans="1:19" x14ac:dyDescent="0.3">
      <c r="A44" s="13" t="s">
        <v>48</v>
      </c>
      <c r="B44" s="14"/>
      <c r="C44" s="14"/>
      <c r="D44" s="14"/>
      <c r="E44" s="14"/>
      <c r="F44" s="15"/>
      <c r="G44" s="15"/>
      <c r="H44" s="14"/>
      <c r="I44" s="15"/>
      <c r="J44" s="86"/>
      <c r="K44" s="99"/>
      <c r="L44" s="15"/>
      <c r="M44" s="15"/>
      <c r="N44" s="15"/>
      <c r="O44" s="15"/>
      <c r="P44" s="15"/>
      <c r="Q44" s="14"/>
      <c r="R44" s="64">
        <f>IF(R40-R42&lt;0,0)</f>
        <v>0</v>
      </c>
    </row>
    <row r="45" spans="1:19" x14ac:dyDescent="0.3">
      <c r="A45" s="55"/>
      <c r="F45" s="37"/>
      <c r="G45" s="37"/>
      <c r="I45" s="37"/>
      <c r="K45" s="37"/>
      <c r="L45" s="37"/>
      <c r="M45" s="37"/>
      <c r="N45" s="37"/>
      <c r="O45" s="37"/>
      <c r="P45" s="37"/>
      <c r="Q45" s="37"/>
      <c r="R45" s="37"/>
    </row>
    <row r="46" spans="1:19" x14ac:dyDescent="0.3">
      <c r="F46" s="37"/>
      <c r="G46" s="37"/>
      <c r="I46" s="37"/>
      <c r="K46" s="37"/>
      <c r="L46" s="37"/>
      <c r="M46" s="37"/>
      <c r="N46" s="37"/>
      <c r="O46" s="37"/>
      <c r="P46" s="37"/>
      <c r="Q46" s="37"/>
      <c r="R46" s="37"/>
    </row>
    <row r="47" spans="1:19" x14ac:dyDescent="0.3">
      <c r="F47" s="37"/>
      <c r="G47" s="37"/>
      <c r="I47" s="37"/>
      <c r="K47" s="37"/>
      <c r="L47" s="37"/>
      <c r="M47" s="37"/>
      <c r="N47" s="37"/>
      <c r="O47" s="37"/>
      <c r="P47" s="37"/>
      <c r="Q47" s="37"/>
      <c r="R47" s="37"/>
    </row>
    <row r="48" spans="1:19" x14ac:dyDescent="0.3">
      <c r="F48" s="37"/>
      <c r="G48" s="37"/>
      <c r="I48" s="37"/>
      <c r="K48" s="37"/>
      <c r="L48" s="37"/>
      <c r="M48" s="37"/>
      <c r="N48" s="37"/>
      <c r="O48" s="37"/>
      <c r="P48" s="37"/>
      <c r="Q48" s="37"/>
      <c r="R48" s="37"/>
    </row>
    <row r="49" spans="1:18" x14ac:dyDescent="0.3">
      <c r="F49" s="37"/>
      <c r="G49" s="37"/>
      <c r="I49" s="37"/>
      <c r="K49" s="37"/>
      <c r="L49" s="37"/>
      <c r="M49" s="37"/>
      <c r="N49" s="37"/>
      <c r="O49" s="37"/>
      <c r="P49" s="37"/>
      <c r="Q49" s="37"/>
      <c r="R49" s="37"/>
    </row>
    <row r="50" spans="1:18" x14ac:dyDescent="0.3">
      <c r="F50" s="37"/>
      <c r="G50" s="37"/>
      <c r="I50" s="37"/>
      <c r="K50" s="37"/>
      <c r="L50" s="37"/>
      <c r="M50" s="37"/>
      <c r="N50" s="37"/>
      <c r="O50" s="37"/>
      <c r="P50" s="37"/>
      <c r="Q50" s="37"/>
      <c r="R50" s="37"/>
    </row>
    <row r="51" spans="1:18" x14ac:dyDescent="0.3">
      <c r="A51" s="55"/>
      <c r="F51" s="37"/>
      <c r="G51" s="37"/>
      <c r="I51" s="37"/>
      <c r="K51" s="37"/>
      <c r="L51" s="37"/>
      <c r="M51" s="37"/>
      <c r="N51" s="37"/>
      <c r="O51" s="37"/>
      <c r="P51" s="37"/>
      <c r="Q51" s="37"/>
      <c r="R51" s="37"/>
    </row>
  </sheetData>
  <mergeCells count="11">
    <mergeCell ref="O5:P5"/>
    <mergeCell ref="F4:G4"/>
    <mergeCell ref="B1:I1"/>
    <mergeCell ref="B2:I2"/>
    <mergeCell ref="B3:I3"/>
    <mergeCell ref="K1:R1"/>
    <mergeCell ref="H4:I4"/>
    <mergeCell ref="Q4:R4"/>
    <mergeCell ref="K2:R2"/>
    <mergeCell ref="K3:R3"/>
    <mergeCell ref="O4:P4"/>
  </mergeCells>
  <printOptions horizontalCentered="1"/>
  <pageMargins left="0.19685039370078741" right="0.19685039370078741" top="0.59055118110236227" bottom="0.19685039370078741" header="0.31496062992125984" footer="0.31496062992125984"/>
  <pageSetup paperSize="8" scale="7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
  <sheetViews>
    <sheetView workbookViewId="0">
      <selection activeCell="F14" sqref="F14"/>
    </sheetView>
  </sheetViews>
  <sheetFormatPr defaultRowHeight="14.4" x14ac:dyDescent="0.3"/>
  <cols>
    <col min="1" max="1" width="39.88671875" customWidth="1"/>
    <col min="2" max="2" width="9.109375" style="1"/>
    <col min="6" max="6" width="11.6640625" customWidth="1"/>
    <col min="7" max="7" width="14.88671875" customWidth="1"/>
    <col min="9" max="9" width="15" customWidth="1"/>
    <col min="10" max="10" width="12.44140625" customWidth="1"/>
  </cols>
  <sheetData>
    <row r="1" spans="1:10" x14ac:dyDescent="0.3">
      <c r="B1" s="1" t="s">
        <v>25</v>
      </c>
      <c r="C1" t="s">
        <v>26</v>
      </c>
      <c r="D1" t="s">
        <v>27</v>
      </c>
      <c r="E1" t="s">
        <v>28</v>
      </c>
    </row>
    <row r="2" spans="1:10" ht="15" customHeight="1" x14ac:dyDescent="0.3">
      <c r="A2" t="s">
        <v>22</v>
      </c>
      <c r="B2" s="1">
        <f>163500-9900</f>
        <v>153600</v>
      </c>
      <c r="G2" t="s">
        <v>24</v>
      </c>
    </row>
    <row r="3" spans="1:10" ht="15" customHeight="1" x14ac:dyDescent="0.3">
      <c r="A3" t="s">
        <v>0</v>
      </c>
      <c r="B3" s="1">
        <f>558310.5+9900</f>
        <v>568210.5</v>
      </c>
      <c r="C3" s="25">
        <f>+B2*J4</f>
        <v>133729.26258790254</v>
      </c>
      <c r="D3" s="25">
        <f>SUM(B3:C3)</f>
        <v>701939.7625879026</v>
      </c>
      <c r="E3">
        <v>730</v>
      </c>
      <c r="F3" s="1">
        <f>+D3/E3</f>
        <v>961.56131861356516</v>
      </c>
      <c r="H3">
        <f>+F3*1.15</f>
        <v>1105.7955164055998</v>
      </c>
      <c r="J3" s="25">
        <f>SUM(B3:B4)</f>
        <v>652640.5</v>
      </c>
    </row>
    <row r="4" spans="1:10" ht="15" customHeight="1" x14ac:dyDescent="0.3">
      <c r="A4" t="s">
        <v>23</v>
      </c>
      <c r="B4" s="1">
        <v>84430</v>
      </c>
      <c r="C4" s="25">
        <f>+B2-C3</f>
        <v>19870.737412097456</v>
      </c>
      <c r="D4" s="25">
        <f>SUM(B4:C4)</f>
        <v>104300.73741209746</v>
      </c>
      <c r="J4" s="11">
        <f>+B3/J3</f>
        <v>0.87063321997332377</v>
      </c>
    </row>
    <row r="5" spans="1:10" x14ac:dyDescent="0.3">
      <c r="D5" s="25">
        <f>SUM(D3:D4)</f>
        <v>806240.5</v>
      </c>
      <c r="J5" s="25">
        <f>SUM(B2:B4)</f>
        <v>806240.5</v>
      </c>
    </row>
    <row r="6" spans="1:10" x14ac:dyDescent="0.3">
      <c r="D6" s="26">
        <f>+D5/(B3+B4)</f>
        <v>1.2353516216048499</v>
      </c>
      <c r="J6" s="11">
        <f>+B3/J5</f>
        <v>0.70476551351612826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Contributions breakdown CoT </vt:lpstr>
      <vt:lpstr>Unit rate breakdown</vt:lpstr>
      <vt:lpstr>'Contributions breakdown CoT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Bruhns</dc:creator>
  <cp:lastModifiedBy>Werner Bruhns</cp:lastModifiedBy>
  <cp:lastPrinted>2018-12-04T13:11:30Z</cp:lastPrinted>
  <dcterms:created xsi:type="dcterms:W3CDTF">2018-03-01T12:30:57Z</dcterms:created>
  <dcterms:modified xsi:type="dcterms:W3CDTF">2023-10-24T12:11:43Z</dcterms:modified>
</cp:coreProperties>
</file>